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BS'!$B$2:$E$70</definedName>
    <definedName name="_xlnm.Print_Area" localSheetId="0">'Income Stmt'!$B$2:$F$45</definedName>
    <definedName name="_xlnm.Print_Area" localSheetId="2">'Notes'!$B$1:$K$194</definedName>
    <definedName name="_xlnm.Print_Titles" localSheetId="1">'Conso BS'!$2:$17</definedName>
    <definedName name="_xlnm.Print_Titles" localSheetId="2">'Notes'!$2:$10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<sst xmlns="http://schemas.openxmlformats.org/spreadsheetml/2006/main" count="288" uniqueCount="252">
  <si>
    <t>The figures have not been audited</t>
  </si>
  <si>
    <t>CONSOLIDATED INCOME STATEMENT</t>
  </si>
  <si>
    <t>Current Year</t>
  </si>
  <si>
    <t>Cumulative</t>
  </si>
  <si>
    <t>Quarter</t>
  </si>
  <si>
    <t>Year-to-date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</si>
  <si>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</si>
  <si>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</si>
  <si>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</si>
  <si>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</si>
  <si>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</si>
  <si>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</si>
  <si>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</si>
  <si>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</si>
  <si>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</si>
  <si>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 (loss) before interest on borrowings,</t>
  </si>
  <si>
    <t>depreciation and 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</si>
  <si>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</si>
  <si>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</si>
  <si>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</si>
  <si>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</si>
  <si>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</si>
  <si>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</si>
  <si>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 (loss) after interest on borrowings, depreciation</t>
  </si>
  <si>
    <t>and amortisation and exceptional items but before income tax,</t>
  </si>
  <si>
    <t>(f)</t>
  </si>
  <si>
    <t>Share in the results of associated companies</t>
  </si>
  <si>
    <t>(g)</t>
  </si>
  <si>
    <t>Profit/ (loss) before taxation, minority interests and extraordinary items</t>
  </si>
  <si>
    <t>(h)</t>
  </si>
  <si>
    <t>Taxation</t>
  </si>
  <si>
    <t>(i)</t>
  </si>
  <si>
    <t>(i)  Profit/ (loss) after taxation before deducting minority interests</t>
  </si>
  <si>
    <t>(ii) Minority interests</t>
  </si>
  <si>
    <t>(j)</t>
  </si>
  <si>
    <t>Profit/ (loss) after taxation attributable to members of the Company</t>
  </si>
  <si>
    <t>(k)</t>
  </si>
  <si>
    <t>Extraordinary items</t>
  </si>
  <si>
    <t>(l)</t>
  </si>
  <si>
    <t>Profit/ (loss) attributable to members of the Company</t>
  </si>
  <si>
    <t>3.</t>
  </si>
  <si>
    <t>Earnings per share based on 2(j) above:-</t>
  </si>
  <si>
    <t>(i) Basic (based on 259,502,583 ordinary shares) (Sen)</t>
  </si>
  <si>
    <t>As at</t>
  </si>
  <si>
    <t>preceding</t>
  </si>
  <si>
    <t>financial</t>
  </si>
  <si>
    <t>year end</t>
  </si>
  <si>
    <t>current</t>
  </si>
  <si>
    <t>end of</t>
  </si>
  <si>
    <t>FIXED ASSETS</t>
  </si>
  <si>
    <t>INVESTMENT IN ASSOCIATED COMPANIES</t>
  </si>
  <si>
    <t>INVESTMENTS</t>
  </si>
  <si>
    <t>LAND AND DEVELOPMENT EXPENDITURE</t>
  </si>
  <si>
    <t>SECURITY RETAINERS' ACCUMULATION FUND</t>
  </si>
  <si>
    <t>GOODWILL ON CONSOLIDATION</t>
  </si>
  <si>
    <t>DEFERRED EXPENDITURE</t>
  </si>
  <si>
    <t>Current Assets</t>
  </si>
  <si>
    <t>Stocks</t>
  </si>
  <si>
    <t xml:space="preserve">Other debtors, deposits and prepayments </t>
  </si>
  <si>
    <t>Short-term deposits</t>
  </si>
  <si>
    <t>Cash and bank balances</t>
  </si>
  <si>
    <t>Trade debtors</t>
  </si>
  <si>
    <t>Land and development expenditure - current portion</t>
  </si>
  <si>
    <t>Amount due from associated companies</t>
  </si>
  <si>
    <t>Current Liabilities</t>
  </si>
  <si>
    <t>Trade creditors</t>
  </si>
  <si>
    <t>Other creditors and accruals</t>
  </si>
  <si>
    <t>Sinking fund reserves</t>
  </si>
  <si>
    <t>Loans - current portion</t>
  </si>
  <si>
    <t>Short term bank borrowings</t>
  </si>
  <si>
    <t>Hire purchase and lease creditors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</si>
  <si>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</si>
  <si>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</si>
  <si>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</si>
  <si>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</si>
  <si>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</si>
  <si>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</si>
  <si>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</si>
  <si>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</si>
  <si>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</si>
  <si>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Exchange fluctuation reserve</t>
  </si>
  <si>
    <t>Unappropriated profit/ (Accumulated loss)</t>
  </si>
  <si>
    <t>Minority Interests</t>
  </si>
  <si>
    <t>Loans - non current portion</t>
  </si>
  <si>
    <t>Security retainers</t>
  </si>
  <si>
    <t>Deferred licence fees</t>
  </si>
  <si>
    <t>Deferred taxation</t>
  </si>
  <si>
    <t>Net tangible assets per share (Sen)</t>
  </si>
  <si>
    <t>CONSOLIDATED BALANCE SHEET</t>
  </si>
  <si>
    <t>NOTES TO THE ACCOUNTS</t>
  </si>
  <si>
    <t>Accounting policies</t>
  </si>
  <si>
    <t>There are no extraordinary items included in the accounts.</t>
  </si>
  <si>
    <t>4.</t>
  </si>
  <si>
    <t>5.</t>
  </si>
  <si>
    <t>Pre-acquisition profits</t>
  </si>
  <si>
    <t>6.</t>
  </si>
  <si>
    <t>Sale of investments/ properties</t>
  </si>
  <si>
    <t>7.</t>
  </si>
  <si>
    <t>Quoted securities</t>
  </si>
  <si>
    <t>8.</t>
  </si>
  <si>
    <t>Group composition</t>
  </si>
  <si>
    <t>9.</t>
  </si>
  <si>
    <t>Corporate proposals</t>
  </si>
  <si>
    <t>10.</t>
  </si>
  <si>
    <t>Seasonality/ cyclicality</t>
  </si>
  <si>
    <t>The business operations of the Group are not affected by any seasonality/ cyclicality.</t>
  </si>
  <si>
    <t>11.</t>
  </si>
  <si>
    <t>Debt/ equity securities and share buy-backs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</si>
  <si>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</si>
  <si>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</si>
  <si>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</si>
  <si>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</si>
  <si>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</si>
  <si>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</si>
  <si>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</si>
  <si>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</si>
  <si>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</si>
  <si>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</si>
  <si>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</si>
  <si>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</si>
  <si>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</si>
  <si>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</si>
  <si>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</si>
  <si>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</si>
  <si>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</si>
  <si>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</si>
  <si>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Net assets</t>
  </si>
  <si>
    <t>employed</t>
  </si>
  <si>
    <t>17.</t>
  </si>
  <si>
    <t>Quarterly analysis</t>
  </si>
  <si>
    <t>18.</t>
  </si>
  <si>
    <t>Review of results</t>
  </si>
  <si>
    <t>19.</t>
  </si>
  <si>
    <t>Prospects</t>
  </si>
  <si>
    <t>20.</t>
  </si>
  <si>
    <t>Profit forecast/ profit guarantee</t>
  </si>
  <si>
    <t>Not applicable</t>
  </si>
  <si>
    <t>21.</t>
  </si>
  <si>
    <t>Dividend</t>
  </si>
  <si>
    <t>Total investments at cost</t>
  </si>
  <si>
    <t>Total investment at market value at end of reporting period</t>
  </si>
  <si>
    <t>(Company No. 47908-K)</t>
  </si>
  <si>
    <r>
      <t>D</t>
    </r>
    <r>
      <rPr>
        <b/>
        <sz val="11"/>
        <rFont val="Times New Roman"/>
        <family val="1"/>
      </rPr>
      <t xml:space="preserve">IJAYA </t>
    </r>
    <r>
      <rPr>
        <b/>
        <sz val="14"/>
        <rFont val="Times New Roman"/>
        <family val="1"/>
      </rPr>
      <t>C</t>
    </r>
    <r>
      <rPr>
        <b/>
        <sz val="11"/>
        <rFont val="Times New Roman"/>
        <family val="1"/>
      </rPr>
      <t xml:space="preserve">ORPORATION </t>
    </r>
    <r>
      <rPr>
        <b/>
        <sz val="14"/>
        <rFont val="Times New Roman"/>
        <family val="1"/>
      </rPr>
      <t>B</t>
    </r>
    <r>
      <rPr>
        <b/>
        <sz val="11"/>
        <rFont val="Times New Roman"/>
        <family val="1"/>
      </rPr>
      <t>ERHAD</t>
    </r>
  </si>
  <si>
    <t>Long Term Borrowings and Deferred Liabilities</t>
  </si>
  <si>
    <t>(ii) Fully diluted (Sen)</t>
  </si>
  <si>
    <t>N/A</t>
  </si>
  <si>
    <t>Note:</t>
  </si>
  <si>
    <t>31/12/1999</t>
  </si>
  <si>
    <t>financial year</t>
  </si>
  <si>
    <t>Stockbroking</t>
  </si>
  <si>
    <t>QUARTERLY REPORT ON CONSOLIDATED RESULTS FOR THE FINANCIAL YEAR</t>
  </si>
  <si>
    <t>There are no pre-acquisition profits in the accounts.</t>
  </si>
  <si>
    <t>The following proposals which were previously approved by the SC are pending implementation:</t>
  </si>
  <si>
    <t xml:space="preserve">(a) </t>
  </si>
  <si>
    <t xml:space="preserve">(b) </t>
  </si>
  <si>
    <r>
      <t>D</t>
    </r>
    <r>
      <rPr>
        <b/>
        <sz val="11"/>
        <rFont val="Times New Roman"/>
        <family val="1"/>
      </rPr>
      <t xml:space="preserve">IJAYA </t>
    </r>
    <r>
      <rPr>
        <b/>
        <sz val="16"/>
        <rFont val="Times New Roman"/>
        <family val="1"/>
      </rPr>
      <t>C</t>
    </r>
    <r>
      <rPr>
        <b/>
        <sz val="11"/>
        <rFont val="Times New Roman"/>
        <family val="1"/>
      </rPr>
      <t xml:space="preserve">ORPORATION </t>
    </r>
    <r>
      <rPr>
        <b/>
        <sz val="16"/>
        <rFont val="Times New Roman"/>
        <family val="1"/>
      </rPr>
      <t>B</t>
    </r>
    <r>
      <rPr>
        <b/>
        <sz val="11"/>
        <rFont val="Times New Roman"/>
        <family val="1"/>
      </rPr>
      <t>ERHAD</t>
    </r>
  </si>
  <si>
    <t>Material litigation</t>
  </si>
  <si>
    <t>ENDED 31 MARCH 2000</t>
  </si>
  <si>
    <t>There are no comparative figures in the preceding year corresponding quarter as quarterly reporting commenced with</t>
  </si>
  <si>
    <t>quarter ended 30 September 1999.</t>
  </si>
  <si>
    <t>31/3/2000</t>
  </si>
  <si>
    <t xml:space="preserve">particulars of investments in quoted shares and loan stocks as at 31 March 2000: </t>
  </si>
  <si>
    <t>Particulars of the Group's borrowings as at 31 March 2000 are as follows:</t>
  </si>
  <si>
    <t>Segmental analysis for the financial year ended 31 March 2000:</t>
  </si>
  <si>
    <t>Included in the accounts is the following exceptional item:</t>
  </si>
  <si>
    <t>RM</t>
  </si>
  <si>
    <t>Write-back of provision for diminution on quoted investment</t>
  </si>
  <si>
    <t>During the current financial year to 31 March 2000, the following changes have taken effect:</t>
  </si>
  <si>
    <t>No interim dividend has been declared.</t>
  </si>
  <si>
    <t>DIJAYA CORPORATION BERHAD</t>
  </si>
  <si>
    <t>QUARTERLY REPORT ON CONSOLIDATED RESULTS FOR THE FINANCIAL</t>
  </si>
  <si>
    <t>YEAR ENDED 31 MARCH 2000</t>
  </si>
  <si>
    <t>Internet-related business</t>
  </si>
  <si>
    <t>The accounting policies and methods of computation adopted are consistent with those applied in the</t>
  </si>
  <si>
    <t>most recent annual financial statement. The Company has discontinued equity accounting for Berjaya</t>
  </si>
  <si>
    <t>Ditan Sdn Bhd as the directors are of the opinion they no longer have a significant influence in the</t>
  </si>
  <si>
    <t>management of this company and they are considering a proposal which is likely to result in a significant</t>
  </si>
  <si>
    <t>dilution of of the Company's shareholding to less than 20% eventually Accordingly, the cost of</t>
  </si>
  <si>
    <t>investment has been written down to its net tangible asset value.</t>
  </si>
  <si>
    <t>The tax figures above, being interim do not contain any deferred tax element nor any adjustment for</t>
  </si>
  <si>
    <t>over or under provision in respect of previous years.</t>
  </si>
  <si>
    <t>On 4 February 2000, Maxi Legacy Sdn Bhd a wholly-owned subsidiary of Bakat Rampai Sdn Bhd</t>
  </si>
  <si>
    <t>entered into a sale and purchase agreement for disposal of its property in Jalan Cheras, Kuala Lumpur</t>
  </si>
  <si>
    <t>for a cash consideration of RM14,000,000.00. The proposed disposal is pending approval by the Foreign</t>
  </si>
  <si>
    <t>Investment Committee.</t>
  </si>
  <si>
    <t>sales of quoted securities for the current quarter ended 31 March 2000 amounted to RM5.0</t>
  </si>
  <si>
    <t>million resulting in net loss on disposal of RM8.5 million</t>
  </si>
  <si>
    <t>Total investments at carrying value/ book value</t>
  </si>
  <si>
    <t>The proposed acquisition of an additional 39.5% equity interest in South Johor Equities Sdn Bhd by</t>
  </si>
  <si>
    <t>Bright Phase Sdn Bhd, a subsidiary of the Company is still pending the approvals of the SC and other</t>
  </si>
  <si>
    <t>relevant authorities.</t>
  </si>
  <si>
    <t>On 6 March 2000, the Company granted options for 3,385,000 ordinary shares under the Company's</t>
  </si>
  <si>
    <t>employees' share option scheme to eligible directors and employees of the Group at an exercise price of</t>
  </si>
  <si>
    <t>RM3.266 per share.</t>
  </si>
  <si>
    <t>proposed special Bumiputra issue of 31,000,000 new Dijaya shares at an indicative issue price of</t>
  </si>
  <si>
    <t>RM1.90 per share to Bumiputra investors approved by the Ministry of International Trade and</t>
  </si>
  <si>
    <t>Industry; and</t>
  </si>
  <si>
    <t>proposed rights issue of RM41.15 million nominal amount of irredeemable unsecured loan stocks</t>
  </si>
  <si>
    <t>In respect of the proposed acquisition of 1,515.2 acres of land in Batang Berjuntai, Selangor for a</t>
  </si>
  <si>
    <t>There has been no issuance or repayment of debt and equity securities, share buy back, share</t>
  </si>
  <si>
    <t>Corporate guarantees in the total of RM109.7 million were provided by the Company for banking</t>
  </si>
  <si>
    <t>facilities granted to its subsidiary companies.</t>
  </si>
  <si>
    <t>There are no off balance sheet risks as at the date of this report that may materially affect the financial</t>
  </si>
  <si>
    <t>position or business of the Group.</t>
  </si>
  <si>
    <t>There is no material litigation other than those disclosed in the quarterly report for the financial period</t>
  </si>
  <si>
    <t>ended 31 December 1999.</t>
  </si>
  <si>
    <t>The Group achieved a profit before tax and minority interest of RM12.7 million for the financial quarter</t>
  </si>
  <si>
    <t>ended 31 March 2000 on a turnover of RM31.4 million. The profit for the current quarter includes an</t>
  </si>
  <si>
    <t>exceptional item for the write-back of provision on diminution of quoted investments of RM11.0 million.</t>
  </si>
  <si>
    <t>In comparison, the profit of RM35.2 million recorded for the preceding quarter was mainly due to</t>
  </si>
  <si>
    <t>reversal of losses in an associated company which was previously recognised in the quarter ended 30</t>
  </si>
  <si>
    <t>September 1999.</t>
  </si>
  <si>
    <t>The Group's operating profit for the current quarter showed a turnaround in the financial results with a</t>
  </si>
  <si>
    <t>profit of RM4.9 million as compared to a loss of RM8.6 million for the financial year ended 31</t>
  </si>
  <si>
    <t>December 1999. Share of profits in associated companies of RM7.8 million increased the Group's</t>
  </si>
  <si>
    <t>pre-tax profit to RM12.7 million. The vastly improved financial results is mainly attributable to higher</t>
  </si>
  <si>
    <t>profit contibutions from the Group's real property and stockbroking businesses. The current low interest</t>
  </si>
  <si>
    <t>rates in the financial market also resulted in lower operating losses incurred by the investment holding</t>
  </si>
  <si>
    <t>companies within the Group.</t>
  </si>
  <si>
    <t>Barring any unforeseen circumstances, the prospect for the Group for the rest of the current  financial</t>
  </si>
  <si>
    <t>.</t>
  </si>
  <si>
    <t>generated revenue since its commencement of operations.</t>
  </si>
  <si>
    <t>As announced on 12 April 2000, Atlantic Casino had commenced its business operations. It had</t>
  </si>
  <si>
    <t>representing 70% equity interest for a total cash consideration of USD3,500,000. Diva Gold had</t>
  </si>
  <si>
    <t>internet-based virtual casino known as Atlantic Casino for the Asian region on an exclusive basis.</t>
  </si>
  <si>
    <t>("ICULS").</t>
  </si>
  <si>
    <t>Company did not be seek any further extension of time to implement the transaction as announced</t>
  </si>
  <si>
    <t>previously.</t>
  </si>
  <si>
    <t>purchase consideration of RM121.2 million, the approval from the SC had since lapsed and the</t>
  </si>
  <si>
    <t>cancellations, shares held as treasury shares and resale of treasury shares.</t>
  </si>
  <si>
    <t>year is expected to be encouraging in view of the relatively strong performance of the residential</t>
  </si>
  <si>
    <t>property market The Group is also expected to benefit from the improved sentiment on the KLSE as a</t>
  </si>
  <si>
    <t>result of the country's robust economic growth and its reinclusion into the Morgan Stanley Capital</t>
  </si>
  <si>
    <t>International indices. The potential earnings from the Group's internet gaming venture is also expected</t>
  </si>
  <si>
    <t>to contibute positively to its profitability.</t>
  </si>
  <si>
    <t>On 10 March 2000, Dijaya Digital Sdn Bhd, a wholly-owned subsidiary of the Company, acquired</t>
  </si>
  <si>
    <t>the entire share capital of Gema Investments Ltd., which has since been renamed Dijaya dotCom</t>
  </si>
  <si>
    <t>Ventures Ltd., from Terbit Berkat Sdn Bhd, another wholly-owned subsidiary of the Company.</t>
  </si>
  <si>
    <t>been appointed by Atlantic Gaming Ltd to manage the business operations of its off-shore licensed</t>
  </si>
  <si>
    <t>Dijaya dotCom Ventures Ltd had, on 30 March 2000, acquire 700 ordinary shares of USD1 each</t>
  </si>
  <si>
    <t>in Diva Gold International Ltd.('Diva Gold'), a company incorporated in the British Virgin Islands,</t>
  </si>
  <si>
    <t>Dijaya Digital Sdn Bhd had, on 14 April 2000, acquired 700,000 ordinary shares of RM1 each in</t>
  </si>
  <si>
    <t>Atlantic Marketing Sdn Bhd, representing 70% equity interest for a cash consideration of</t>
  </si>
  <si>
    <t>RM700,000. Atlantic Marketing Sdn Bhd will be carrying out marketing and promotion of Atlantic</t>
  </si>
  <si>
    <t xml:space="preserve">Casino in the Asian region. </t>
  </si>
  <si>
    <t>By Order of the Board</t>
  </si>
  <si>
    <t>Lim Siak Kooi</t>
  </si>
  <si>
    <t>Low Nyoke Fun</t>
  </si>
  <si>
    <t>Secretaries</t>
  </si>
  <si>
    <t>Petaling Jaya,</t>
  </si>
  <si>
    <t>Selangor Darul Ehsan</t>
  </si>
  <si>
    <t>31 May 2000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</si>
</sst>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/>
    </xf>
    <xf numFmtId="179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179" fontId="5" fillId="0" borderId="0" xfId="15" applyNumberFormat="1" applyFont="1" applyBorder="1" applyAlignment="1">
      <alignment/>
    </xf>
    <xf numFmtId="179" fontId="5" fillId="0" borderId="3" xfId="15" applyNumberFormat="1" applyFont="1" applyBorder="1" applyAlignment="1">
      <alignment/>
    </xf>
    <xf numFmtId="179" fontId="5" fillId="0" borderId="4" xfId="15" applyNumberFormat="1" applyFont="1" applyBorder="1" applyAlignment="1">
      <alignment/>
    </xf>
    <xf numFmtId="179" fontId="5" fillId="0" borderId="5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179" fontId="5" fillId="0" borderId="7" xfId="15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179" fontId="5" fillId="0" borderId="9" xfId="15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179" fontId="5" fillId="0" borderId="10" xfId="15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horizontal="left" indent="1"/>
    </xf>
    <xf numFmtId="17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179" fontId="5" fillId="0" borderId="9" xfId="0" applyNumberFormat="1" applyFont="1" applyBorder="1" applyAlignment="1">
      <alignment/>
    </xf>
    <xf numFmtId="14" fontId="7" fillId="0" borderId="0" xfId="0" applyNumberFormat="1" applyFont="1" applyBorder="1" applyAlignment="1" quotePrefix="1">
      <alignment horizontal="center"/>
    </xf>
    <xf numFmtId="179" fontId="5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9" fontId="4" fillId="0" borderId="0" xfId="15" applyNumberFormat="1" applyFont="1" applyAlignment="1">
      <alignment/>
    </xf>
    <xf numFmtId="0" fontId="5" fillId="0" borderId="0" xfId="0" applyFont="1" applyAlignment="1">
      <alignment horizontal="left" indent="2"/>
    </xf>
    <xf numFmtId="179" fontId="5" fillId="0" borderId="12" xfId="15" applyNumberFormat="1" applyFont="1" applyBorder="1" applyAlignment="1">
      <alignment/>
    </xf>
    <xf numFmtId="179" fontId="5" fillId="0" borderId="13" xfId="15" applyNumberFormat="1" applyFont="1" applyBorder="1" applyAlignment="1">
      <alignment/>
    </xf>
    <xf numFmtId="0" fontId="5" fillId="0" borderId="0" xfId="0" applyFont="1" applyAlignment="1">
      <alignment/>
    </xf>
    <xf numFmtId="179" fontId="5" fillId="0" borderId="4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5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workbookViewId="0" topLeftCell="C31">
      <selection activeCell="E35" sqref="E35"/>
    </sheetView>
  </sheetViews>
  <sheetFormatPr defaultColWidth="9.140625" defaultRowHeight="12.75"/>
  <cols>
    <col min="1" max="1" width="9.140625" style="11" customWidth="1"/>
    <col min="2" max="3" width="2.7109375" style="11" customWidth="1"/>
    <col min="4" max="4" width="60.7109375" style="11" customWidth="1"/>
    <col min="5" max="6" width="10.7109375" style="11" customWidth="1"/>
    <col min="7" max="16384" width="7.8515625" style="11" customWidth="1"/>
  </cols>
  <sheetData>
    <row r="2" ht="18.75">
      <c r="B2" s="32" t="s">
        <v>142</v>
      </c>
    </row>
    <row r="3" ht="15">
      <c r="B3" s="31" t="s">
        <v>141</v>
      </c>
    </row>
    <row r="4" ht="15">
      <c r="B4" s="31"/>
    </row>
    <row r="5" ht="15">
      <c r="B5" s="3" t="s">
        <v>150</v>
      </c>
    </row>
    <row r="6" spans="2:6" ht="15">
      <c r="B6" s="4" t="s">
        <v>157</v>
      </c>
      <c r="C6" s="12"/>
      <c r="D6" s="12"/>
      <c r="E6" s="12"/>
      <c r="F6" s="12"/>
    </row>
    <row r="7" spans="2:3" ht="15">
      <c r="B7" s="13" t="s">
        <v>0</v>
      </c>
      <c r="C7" s="13"/>
    </row>
    <row r="9" ht="15">
      <c r="B9" s="3" t="s">
        <v>1</v>
      </c>
    </row>
    <row r="10" ht="15">
      <c r="B10" s="3"/>
    </row>
    <row r="11" spans="5:6" ht="15">
      <c r="E11" s="14" t="s">
        <v>2</v>
      </c>
      <c r="F11" s="14" t="s">
        <v>3</v>
      </c>
    </row>
    <row r="12" spans="5:6" ht="15">
      <c r="E12" s="14" t="s">
        <v>4</v>
      </c>
      <c r="F12" s="14" t="s">
        <v>5</v>
      </c>
    </row>
    <row r="13" spans="5:6" ht="15">
      <c r="E13" s="44" t="s">
        <v>160</v>
      </c>
      <c r="F13" s="44" t="s">
        <v>160</v>
      </c>
    </row>
    <row r="14" spans="5:6" ht="15">
      <c r="E14" s="14" t="s">
        <v>6</v>
      </c>
      <c r="F14" s="14" t="s">
        <v>6</v>
      </c>
    </row>
    <row r="15" spans="5:6" ht="15">
      <c r="E15" s="15"/>
      <c r="F15" s="15"/>
    </row>
    <row r="16" spans="2:6" ht="15">
      <c r="B16" s="36" t="s">
        <v>7</v>
      </c>
      <c r="C16" s="11" t="s">
        <v>8</v>
      </c>
      <c r="D16" s="11" t="s">
        <v>9</v>
      </c>
      <c r="E16" s="18">
        <f>31416804/1000</f>
        <v>31416.804</v>
      </c>
      <c r="F16" s="18">
        <f>31416804/1000</f>
        <v>31416.804</v>
      </c>
    </row>
    <row r="17" spans="3:6" ht="15">
      <c r="C17" s="11" t="s">
        <v>10</v>
      </c>
      <c r="D17" s="11" t="s">
        <v>11</v>
      </c>
      <c r="E17" s="18">
        <f>27888/1000</f>
        <v>27.888</v>
      </c>
      <c r="F17" s="18">
        <v>28</v>
      </c>
    </row>
    <row r="18" spans="3:6" ht="15.75" thickBot="1">
      <c r="C18" s="11" t="s">
        <v>12</v>
      </c>
      <c r="D18" s="11" t="s">
        <v>13</v>
      </c>
      <c r="E18" s="19">
        <v>2402</v>
      </c>
      <c r="F18" s="19">
        <v>2402</v>
      </c>
    </row>
    <row r="19" spans="5:6" ht="15">
      <c r="E19" s="18"/>
      <c r="F19" s="18"/>
    </row>
    <row r="20" spans="2:6" ht="15">
      <c r="B20" s="36" t="s">
        <v>14</v>
      </c>
      <c r="C20" s="11" t="s">
        <v>8</v>
      </c>
      <c r="D20" s="11" t="s">
        <v>15</v>
      </c>
      <c r="E20" s="18"/>
      <c r="F20" s="18"/>
    </row>
    <row r="21" spans="4:6" ht="15">
      <c r="D21" s="37" t="s">
        <v>16</v>
      </c>
      <c r="E21" s="18"/>
      <c r="F21" s="18"/>
    </row>
    <row r="22" spans="4:6" ht="15">
      <c r="D22" s="37" t="s">
        <v>17</v>
      </c>
      <c r="E22" s="18">
        <v>-1781</v>
      </c>
      <c r="F22" s="18">
        <v>-1781</v>
      </c>
    </row>
    <row r="23" spans="3:6" ht="15">
      <c r="C23" s="11" t="s">
        <v>10</v>
      </c>
      <c r="D23" s="11" t="s">
        <v>18</v>
      </c>
      <c r="E23" s="18">
        <v>-2786</v>
      </c>
      <c r="F23" s="18">
        <v>-2786</v>
      </c>
    </row>
    <row r="24" spans="3:6" ht="15">
      <c r="C24" s="11" t="s">
        <v>12</v>
      </c>
      <c r="D24" s="11" t="s">
        <v>19</v>
      </c>
      <c r="E24" s="18">
        <v>-1560</v>
      </c>
      <c r="F24" s="18">
        <v>-1560</v>
      </c>
    </row>
    <row r="25" spans="3:6" ht="15">
      <c r="C25" s="11" t="s">
        <v>20</v>
      </c>
      <c r="D25" s="11" t="s">
        <v>21</v>
      </c>
      <c r="E25" s="18">
        <v>11028</v>
      </c>
      <c r="F25" s="18">
        <v>11028</v>
      </c>
    </row>
    <row r="26" spans="3:6" ht="23.25" customHeight="1">
      <c r="C26" s="11" t="s">
        <v>22</v>
      </c>
      <c r="D26" s="11" t="s">
        <v>23</v>
      </c>
      <c r="E26" s="20">
        <f>SUM(E22:E25)</f>
        <v>4901</v>
      </c>
      <c r="F26" s="20">
        <f>SUM(F22:F25)</f>
        <v>4901</v>
      </c>
    </row>
    <row r="27" spans="4:6" ht="15">
      <c r="D27" s="37" t="s">
        <v>24</v>
      </c>
      <c r="E27" s="18"/>
      <c r="F27" s="18"/>
    </row>
    <row r="28" spans="4:6" ht="15">
      <c r="D28" s="37" t="s">
        <v>17</v>
      </c>
      <c r="E28" s="18"/>
      <c r="F28" s="18"/>
    </row>
    <row r="29" spans="3:6" ht="15">
      <c r="C29" s="11" t="s">
        <v>25</v>
      </c>
      <c r="D29" s="11" t="s">
        <v>26</v>
      </c>
      <c r="E29" s="18">
        <v>7755</v>
      </c>
      <c r="F29" s="18">
        <v>7755</v>
      </c>
    </row>
    <row r="30" spans="3:6" ht="23.25" customHeight="1">
      <c r="C30" s="11" t="s">
        <v>27</v>
      </c>
      <c r="D30" s="11" t="s">
        <v>28</v>
      </c>
      <c r="E30" s="20">
        <f>SUM(E26:E29)</f>
        <v>12656</v>
      </c>
      <c r="F30" s="20">
        <f>SUM(F26:F29)</f>
        <v>12656</v>
      </c>
    </row>
    <row r="31" spans="3:6" ht="15">
      <c r="C31" s="11" t="s">
        <v>29</v>
      </c>
      <c r="D31" s="11" t="s">
        <v>30</v>
      </c>
      <c r="E31" s="18">
        <f>-2658439/1000</f>
        <v>-2658.439</v>
      </c>
      <c r="F31" s="18">
        <f>-2658439/1000</f>
        <v>-2658.439</v>
      </c>
    </row>
    <row r="32" spans="3:6" ht="23.25" customHeight="1">
      <c r="C32" s="11" t="s">
        <v>31</v>
      </c>
      <c r="D32" s="11" t="s">
        <v>32</v>
      </c>
      <c r="E32" s="20">
        <f>SUM(E30:E31)</f>
        <v>9997.561</v>
      </c>
      <c r="F32" s="20">
        <f>SUM(F30:F31)</f>
        <v>9997.561</v>
      </c>
    </row>
    <row r="33" spans="4:6" ht="15">
      <c r="D33" s="11" t="s">
        <v>33</v>
      </c>
      <c r="E33" s="18">
        <f>-929777/1000</f>
        <v>-929.777</v>
      </c>
      <c r="F33" s="18">
        <f>-929777/1000</f>
        <v>-929.777</v>
      </c>
    </row>
    <row r="34" spans="3:6" ht="23.25" customHeight="1">
      <c r="C34" s="11" t="s">
        <v>34</v>
      </c>
      <c r="D34" s="11" t="s">
        <v>35</v>
      </c>
      <c r="E34" s="20">
        <f>SUM(E32:E33)</f>
        <v>9067.784</v>
      </c>
      <c r="F34" s="20">
        <f>SUM(F32:F33)</f>
        <v>9067.784</v>
      </c>
    </row>
    <row r="35" spans="3:6" ht="15">
      <c r="C35" s="11" t="s">
        <v>36</v>
      </c>
      <c r="D35" s="11" t="s">
        <v>37</v>
      </c>
      <c r="E35" s="18">
        <v>0</v>
      </c>
      <c r="F35" s="18">
        <v>0</v>
      </c>
    </row>
    <row r="36" spans="3:6" ht="23.25" customHeight="1" thickBot="1">
      <c r="C36" s="11" t="s">
        <v>38</v>
      </c>
      <c r="D36" s="11" t="s">
        <v>39</v>
      </c>
      <c r="E36" s="21">
        <f>SUM(E34:E35)</f>
        <v>9067.784</v>
      </c>
      <c r="F36" s="21">
        <f>SUM(F34:F35)</f>
        <v>9067.784</v>
      </c>
    </row>
    <row r="37" ht="15">
      <c r="F37" s="38"/>
    </row>
    <row r="38" spans="2:4" ht="15">
      <c r="B38" s="36" t="s">
        <v>40</v>
      </c>
      <c r="C38" s="11" t="s">
        <v>8</v>
      </c>
      <c r="D38" s="11" t="s">
        <v>41</v>
      </c>
    </row>
    <row r="39" spans="4:6" ht="15">
      <c r="D39" s="11" t="s">
        <v>42</v>
      </c>
      <c r="E39" s="39">
        <f>E36/259503*100</f>
        <v>3.4942886980111982</v>
      </c>
      <c r="F39" s="39">
        <f>F36/259503*100</f>
        <v>3.4942886980111982</v>
      </c>
    </row>
    <row r="40" spans="4:6" ht="15">
      <c r="D40" s="11" t="s">
        <v>144</v>
      </c>
      <c r="E40" s="40" t="s">
        <v>145</v>
      </c>
      <c r="F40" s="40" t="s">
        <v>145</v>
      </c>
    </row>
    <row r="41" spans="5:6" ht="15">
      <c r="E41" s="40"/>
      <c r="F41" s="40"/>
    </row>
    <row r="42" spans="5:6" ht="15">
      <c r="E42" s="40"/>
      <c r="F42" s="40"/>
    </row>
    <row r="43" spans="2:6" ht="15">
      <c r="B43" s="13" t="s">
        <v>146</v>
      </c>
      <c r="C43" s="13"/>
      <c r="D43" s="13" t="s">
        <v>158</v>
      </c>
      <c r="E43" s="40"/>
      <c r="F43" s="40"/>
    </row>
    <row r="44" spans="2:6" ht="15">
      <c r="B44" s="13"/>
      <c r="C44" s="13"/>
      <c r="D44" s="13" t="s">
        <v>159</v>
      </c>
      <c r="E44" s="40"/>
      <c r="F44" s="40"/>
    </row>
    <row r="45" spans="5:6" ht="15">
      <c r="E45" s="40"/>
      <c r="F45" s="40"/>
    </row>
    <row r="46" spans="2:4" ht="15">
      <c r="B46" s="16"/>
      <c r="C46" s="16"/>
      <c r="D46" s="16"/>
    </row>
    <row r="47" spans="5:6" ht="15">
      <c r="E47" s="13"/>
      <c r="F47" s="13"/>
    </row>
    <row r="48" spans="5:6" ht="15">
      <c r="E48" s="13"/>
      <c r="F48" s="13"/>
    </row>
    <row r="49" spans="2:4" ht="15">
      <c r="B49" s="16"/>
      <c r="C49" s="16"/>
      <c r="D49" s="16"/>
    </row>
    <row r="50" spans="2:4" ht="15">
      <c r="B50" s="16"/>
      <c r="C50" s="16"/>
      <c r="D50" s="16"/>
    </row>
    <row r="51" spans="2:4" ht="15">
      <c r="B51" s="16"/>
      <c r="C51" s="16"/>
      <c r="D51" s="16"/>
    </row>
    <row r="52" spans="2:4" ht="15">
      <c r="B52" s="16"/>
      <c r="C52" s="16"/>
      <c r="D52" s="16"/>
    </row>
    <row r="53" spans="2:4" ht="15">
      <c r="B53" s="16"/>
      <c r="C53" s="16"/>
      <c r="D53" s="16"/>
    </row>
    <row r="54" spans="2:4" ht="15">
      <c r="B54" s="16"/>
      <c r="C54" s="16"/>
      <c r="D54" s="16"/>
    </row>
    <row r="55" spans="2:4" ht="15">
      <c r="B55" s="16"/>
      <c r="C55" s="16"/>
      <c r="D55" s="16"/>
    </row>
    <row r="56" spans="2:4" ht="15">
      <c r="B56" s="16"/>
      <c r="C56" s="16"/>
      <c r="D56" s="16"/>
    </row>
    <row r="57" spans="2:4" ht="15">
      <c r="B57" s="16"/>
      <c r="C57" s="16"/>
      <c r="D57" s="16"/>
    </row>
  </sheetData>
  <printOptions horizontalCentered="1"/>
  <pageMargins left="0.5" right="0.5" top="0.5" bottom="0.5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1"/>
  <sheetViews>
    <sheetView workbookViewId="0" topLeftCell="A58">
      <selection activeCell="B67" sqref="B67"/>
    </sheetView>
  </sheetViews>
  <sheetFormatPr defaultColWidth="9.140625" defaultRowHeight="12.75"/>
  <cols>
    <col min="1" max="1" width="9.140625" style="2" customWidth="1"/>
    <col min="2" max="2" width="52.7109375" style="2" customWidth="1"/>
    <col min="3" max="3" width="13.7109375" style="2" customWidth="1"/>
    <col min="4" max="4" width="3.7109375" style="2" customWidth="1"/>
    <col min="5" max="5" width="12.7109375" style="2" customWidth="1"/>
    <col min="6" max="16384" width="9.140625" style="2" customWidth="1"/>
  </cols>
  <sheetData>
    <row r="2" spans="2:5" ht="15">
      <c r="B2" s="1" t="s">
        <v>169</v>
      </c>
      <c r="C2" s="11"/>
      <c r="D2" s="11"/>
      <c r="E2" s="11"/>
    </row>
    <row r="3" spans="2:5" ht="15">
      <c r="B3" s="2" t="s">
        <v>141</v>
      </c>
      <c r="C3" s="11"/>
      <c r="D3" s="11"/>
      <c r="E3" s="11"/>
    </row>
    <row r="4" spans="3:5" ht="15">
      <c r="C4" s="11"/>
      <c r="D4" s="11"/>
      <c r="E4" s="11"/>
    </row>
    <row r="5" spans="2:5" ht="15">
      <c r="B5" s="3" t="s">
        <v>170</v>
      </c>
      <c r="C5" s="11"/>
      <c r="D5" s="11"/>
      <c r="E5" s="11"/>
    </row>
    <row r="6" spans="2:5" ht="15">
      <c r="B6" s="4" t="s">
        <v>171</v>
      </c>
      <c r="C6" s="12"/>
      <c r="D6" s="12"/>
      <c r="E6" s="12"/>
    </row>
    <row r="7" spans="2:5" ht="15">
      <c r="B7" s="11" t="s">
        <v>0</v>
      </c>
      <c r="C7" s="11"/>
      <c r="D7" s="11"/>
      <c r="E7" s="11"/>
    </row>
    <row r="9" ht="15">
      <c r="B9" s="1" t="s">
        <v>88</v>
      </c>
    </row>
    <row r="10" ht="15">
      <c r="B10" s="1"/>
    </row>
    <row r="11" spans="3:5" ht="15">
      <c r="C11" s="46" t="s">
        <v>43</v>
      </c>
      <c r="E11" s="46" t="s">
        <v>43</v>
      </c>
    </row>
    <row r="12" spans="3:5" ht="15">
      <c r="C12" s="46" t="s">
        <v>48</v>
      </c>
      <c r="E12" s="46" t="s">
        <v>44</v>
      </c>
    </row>
    <row r="13" spans="3:5" ht="15">
      <c r="C13" s="46" t="s">
        <v>47</v>
      </c>
      <c r="E13" s="46" t="s">
        <v>45</v>
      </c>
    </row>
    <row r="14" spans="3:5" ht="15">
      <c r="C14" s="46" t="s">
        <v>148</v>
      </c>
      <c r="E14" s="46" t="s">
        <v>46</v>
      </c>
    </row>
    <row r="15" spans="3:5" ht="15">
      <c r="C15" s="47" t="s">
        <v>160</v>
      </c>
      <c r="E15" s="47" t="s">
        <v>147</v>
      </c>
    </row>
    <row r="16" spans="3:5" ht="15">
      <c r="C16" s="46" t="s">
        <v>6</v>
      </c>
      <c r="E16" s="46" t="s">
        <v>6</v>
      </c>
    </row>
    <row r="18" spans="2:5" ht="15">
      <c r="B18" s="1" t="s">
        <v>49</v>
      </c>
      <c r="C18" s="48">
        <f>277353880/1000</f>
        <v>277353.88</v>
      </c>
      <c r="D18" s="9"/>
      <c r="E18" s="48">
        <f>278960584/1000</f>
        <v>278960.584</v>
      </c>
    </row>
    <row r="19" spans="2:5" ht="15">
      <c r="B19" s="1" t="s">
        <v>50</v>
      </c>
      <c r="C19" s="48">
        <f>67318396/1000</f>
        <v>67318.396</v>
      </c>
      <c r="D19" s="9"/>
      <c r="E19" s="48">
        <f>59466914/1000</f>
        <v>59466.914</v>
      </c>
    </row>
    <row r="20" spans="2:5" ht="15">
      <c r="B20" s="1" t="s">
        <v>51</v>
      </c>
      <c r="C20" s="48">
        <f>177787999/1000</f>
        <v>177787.999</v>
      </c>
      <c r="D20" s="9"/>
      <c r="E20" s="48">
        <f>179794686/1000</f>
        <v>179794.686</v>
      </c>
    </row>
    <row r="21" spans="2:5" ht="15">
      <c r="B21" s="1" t="s">
        <v>52</v>
      </c>
      <c r="C21" s="48">
        <f>44523926/1000</f>
        <v>44523.926</v>
      </c>
      <c r="D21" s="9"/>
      <c r="E21" s="48">
        <f>56528643/1000</f>
        <v>56528.643</v>
      </c>
    </row>
    <row r="22" spans="2:5" ht="15">
      <c r="B22" s="1" t="s">
        <v>53</v>
      </c>
      <c r="C22" s="48">
        <f>1441729/1000</f>
        <v>1441.729</v>
      </c>
      <c r="D22" s="9"/>
      <c r="E22" s="48">
        <f>1441729/1000</f>
        <v>1441.729</v>
      </c>
    </row>
    <row r="23" spans="2:5" ht="15">
      <c r="B23" s="1" t="s">
        <v>54</v>
      </c>
      <c r="C23" s="48">
        <f>14703131/1000</f>
        <v>14703.131</v>
      </c>
      <c r="D23" s="9"/>
      <c r="E23" s="48">
        <f>14703131/1000</f>
        <v>14703.131</v>
      </c>
    </row>
    <row r="24" spans="2:5" ht="15">
      <c r="B24" s="1" t="s">
        <v>55</v>
      </c>
      <c r="C24" s="48">
        <v>0</v>
      </c>
      <c r="D24" s="9"/>
      <c r="E24" s="48">
        <v>0</v>
      </c>
    </row>
    <row r="25" spans="3:5" ht="15">
      <c r="C25" s="9"/>
      <c r="D25" s="9"/>
      <c r="E25" s="9"/>
    </row>
    <row r="26" spans="2:5" ht="15">
      <c r="B26" s="1" t="s">
        <v>56</v>
      </c>
      <c r="C26" s="9"/>
      <c r="D26" s="9"/>
      <c r="E26" s="9"/>
    </row>
    <row r="27" spans="2:5" ht="15">
      <c r="B27" s="49" t="s">
        <v>57</v>
      </c>
      <c r="C27" s="25">
        <f>19881444/1000</f>
        <v>19881.444</v>
      </c>
      <c r="D27" s="9"/>
      <c r="E27" s="25">
        <f>21324007/1000</f>
        <v>21324.007</v>
      </c>
    </row>
    <row r="28" spans="2:5" ht="15">
      <c r="B28" s="49" t="s">
        <v>62</v>
      </c>
      <c r="C28" s="50">
        <f>646429916/1000</f>
        <v>646429.916</v>
      </c>
      <c r="D28" s="9"/>
      <c r="E28" s="50">
        <f>646902873/1000</f>
        <v>646902.873</v>
      </c>
    </row>
    <row r="29" spans="2:5" ht="15">
      <c r="B29" s="49" t="s">
        <v>61</v>
      </c>
      <c r="C29" s="50">
        <f>40850205/1000</f>
        <v>40850.205</v>
      </c>
      <c r="D29" s="9"/>
      <c r="E29" s="50">
        <f>40221953/1000</f>
        <v>40221.953</v>
      </c>
    </row>
    <row r="30" spans="2:5" ht="15">
      <c r="B30" s="49" t="s">
        <v>58</v>
      </c>
      <c r="C30" s="50">
        <f>(24558577+267029)/1000</f>
        <v>24825.606</v>
      </c>
      <c r="D30" s="9"/>
      <c r="E30" s="50">
        <f>21071858/1000</f>
        <v>21071.858</v>
      </c>
    </row>
    <row r="31" spans="2:5" ht="15">
      <c r="B31" s="49" t="s">
        <v>63</v>
      </c>
      <c r="C31" s="50">
        <f>30238500/1000</f>
        <v>30238.5</v>
      </c>
      <c r="D31" s="9"/>
      <c r="E31" s="50">
        <f>30238500/1000</f>
        <v>30238.5</v>
      </c>
    </row>
    <row r="32" spans="2:5" ht="15">
      <c r="B32" s="49" t="s">
        <v>59</v>
      </c>
      <c r="C32" s="50">
        <f>2775299/1000</f>
        <v>2775.299</v>
      </c>
      <c r="D32" s="9"/>
      <c r="E32" s="50">
        <f>1760739/1000</f>
        <v>1760.739</v>
      </c>
    </row>
    <row r="33" spans="2:5" ht="15">
      <c r="B33" s="49" t="s">
        <v>60</v>
      </c>
      <c r="C33" s="50">
        <f>20279147/1000</f>
        <v>20279.147</v>
      </c>
      <c r="D33" s="9"/>
      <c r="E33" s="50">
        <f>18737995/1000</f>
        <v>18737.995</v>
      </c>
    </row>
    <row r="34" spans="3:5" ht="12.75" customHeight="1">
      <c r="C34" s="28">
        <f>SUM(C27:C33)</f>
        <v>785280.117</v>
      </c>
      <c r="D34" s="9"/>
      <c r="E34" s="28">
        <f>SUM(E27:E33)</f>
        <v>780257.9249999999</v>
      </c>
    </row>
    <row r="35" spans="3:5" ht="12" customHeight="1">
      <c r="C35" s="50"/>
      <c r="D35" s="9"/>
      <c r="E35" s="50"/>
    </row>
    <row r="36" spans="2:5" ht="15">
      <c r="B36" s="1" t="s">
        <v>64</v>
      </c>
      <c r="C36" s="50"/>
      <c r="D36" s="9"/>
      <c r="E36" s="50"/>
    </row>
    <row r="37" spans="2:5" ht="15">
      <c r="B37" s="49" t="s">
        <v>65</v>
      </c>
      <c r="C37" s="50">
        <f>19611546/1000</f>
        <v>19611.546</v>
      </c>
      <c r="D37" s="9"/>
      <c r="E37" s="50">
        <f>26190524/1000</f>
        <v>26190.524</v>
      </c>
    </row>
    <row r="38" spans="2:5" ht="15">
      <c r="B38" s="49" t="s">
        <v>66</v>
      </c>
      <c r="C38" s="50">
        <f>(103907257+4240435+4470452+25317842)/1000</f>
        <v>137935.986</v>
      </c>
      <c r="D38" s="9"/>
      <c r="E38" s="50">
        <f>131090598/1000</f>
        <v>131090.598</v>
      </c>
    </row>
    <row r="39" spans="2:5" ht="15">
      <c r="B39" s="49" t="s">
        <v>67</v>
      </c>
      <c r="C39" s="50">
        <f>2156272/1000</f>
        <v>2156.272</v>
      </c>
      <c r="D39" s="9"/>
      <c r="E39" s="50">
        <f>2156272/1000</f>
        <v>2156.272</v>
      </c>
    </row>
    <row r="40" spans="2:5" ht="15">
      <c r="B40" s="49" t="s">
        <v>68</v>
      </c>
      <c r="C40" s="50">
        <f>79662422/1000</f>
        <v>79662.422</v>
      </c>
      <c r="D40" s="9"/>
      <c r="E40" s="50">
        <f>96626294/1000</f>
        <v>96626.294</v>
      </c>
    </row>
    <row r="41" spans="2:5" ht="15">
      <c r="B41" s="49" t="s">
        <v>69</v>
      </c>
      <c r="C41" s="50">
        <f>128959665/1000</f>
        <v>128959.665</v>
      </c>
      <c r="D41" s="9"/>
      <c r="E41" s="50">
        <f>111470000/1000</f>
        <v>111470</v>
      </c>
    </row>
    <row r="42" spans="2:5" ht="15">
      <c r="B42" s="49" t="s">
        <v>70</v>
      </c>
      <c r="C42" s="50">
        <f>247142/1000</f>
        <v>247.142</v>
      </c>
      <c r="D42" s="9"/>
      <c r="E42" s="50">
        <f>269966/1000</f>
        <v>269.966</v>
      </c>
    </row>
    <row r="43" spans="2:5" ht="15">
      <c r="B43" s="49" t="s">
        <v>72</v>
      </c>
      <c r="C43" s="50">
        <f>16776710/1000</f>
        <v>16776.71</v>
      </c>
      <c r="D43" s="9"/>
      <c r="E43" s="50">
        <f>23609101/1000</f>
        <v>23609.101</v>
      </c>
    </row>
    <row r="44" spans="2:5" ht="15">
      <c r="B44" s="49" t="s">
        <v>71</v>
      </c>
      <c r="C44" s="50">
        <f>6348666/1000</f>
        <v>6348.666</v>
      </c>
      <c r="D44" s="9"/>
      <c r="E44" s="50">
        <f>10333830/1000</f>
        <v>10333.83</v>
      </c>
    </row>
    <row r="45" spans="3:5" ht="15">
      <c r="C45" s="28">
        <f>SUM(C37:C44)</f>
        <v>391698.40900000004</v>
      </c>
      <c r="D45" s="9"/>
      <c r="E45" s="28">
        <f>SUM(E37:E44)</f>
        <v>401746.585</v>
      </c>
    </row>
    <row r="46" spans="2:5" ht="23.25" customHeight="1">
      <c r="B46" s="1" t="s">
        <v>73</v>
      </c>
      <c r="C46" s="9">
        <f>C34-C45</f>
        <v>393581.7079999999</v>
      </c>
      <c r="D46" s="9"/>
      <c r="E46" s="9">
        <f>E34-E45</f>
        <v>378511.3399999999</v>
      </c>
    </row>
    <row r="47" spans="3:5" ht="23.25" customHeight="1" thickBot="1">
      <c r="C47" s="51">
        <f>SUM(C18:C24)+C46</f>
        <v>976710.7690000001</v>
      </c>
      <c r="D47" s="9"/>
      <c r="E47" s="51">
        <f>SUM(E18:E24)+E46</f>
        <v>969407.027</v>
      </c>
    </row>
    <row r="48" spans="3:5" ht="15.75" thickTop="1">
      <c r="C48" s="9"/>
      <c r="D48" s="9"/>
      <c r="E48" s="9"/>
    </row>
    <row r="49" spans="3:5" ht="15">
      <c r="C49" s="9"/>
      <c r="D49" s="9"/>
      <c r="E49" s="9"/>
    </row>
    <row r="50" spans="2:5" ht="15">
      <c r="B50" s="1" t="s">
        <v>74</v>
      </c>
      <c r="C50" s="9"/>
      <c r="D50" s="9"/>
      <c r="E50" s="9"/>
    </row>
    <row r="51" spans="2:5" ht="15">
      <c r="B51" s="52" t="s">
        <v>75</v>
      </c>
      <c r="C51" s="9">
        <f>259502583/1000</f>
        <v>259502.583</v>
      </c>
      <c r="D51" s="9"/>
      <c r="E51" s="9">
        <f>259502583/1000</f>
        <v>259502.583</v>
      </c>
    </row>
    <row r="52" spans="2:5" ht="15">
      <c r="B52" s="52" t="s">
        <v>76</v>
      </c>
      <c r="C52" s="9"/>
      <c r="D52" s="9"/>
      <c r="E52" s="9"/>
    </row>
    <row r="53" spans="2:5" ht="15">
      <c r="B53" s="49" t="s">
        <v>77</v>
      </c>
      <c r="C53" s="9">
        <f>402653291/1000</f>
        <v>402653.291</v>
      </c>
      <c r="D53" s="9"/>
      <c r="E53" s="9">
        <f>402653291/1000</f>
        <v>402653.291</v>
      </c>
    </row>
    <row r="54" spans="2:5" ht="15">
      <c r="B54" s="49" t="s">
        <v>78</v>
      </c>
      <c r="C54" s="9">
        <f>467000/1000</f>
        <v>467</v>
      </c>
      <c r="D54" s="9"/>
      <c r="E54" s="9">
        <f>467000/1000</f>
        <v>467</v>
      </c>
    </row>
    <row r="55" spans="2:5" ht="15">
      <c r="B55" s="49" t="s">
        <v>79</v>
      </c>
      <c r="C55" s="9">
        <f>43571593/1000</f>
        <v>43571.593</v>
      </c>
      <c r="D55" s="9"/>
      <c r="E55" s="9">
        <f>43571593/1000</f>
        <v>43571.593</v>
      </c>
    </row>
    <row r="56" spans="2:5" ht="15">
      <c r="B56" s="49" t="s">
        <v>80</v>
      </c>
      <c r="C56" s="9">
        <f>348798/1000</f>
        <v>348.798</v>
      </c>
      <c r="D56" s="9"/>
      <c r="E56" s="9">
        <f>348798/1000</f>
        <v>348.798</v>
      </c>
    </row>
    <row r="57" spans="2:5" ht="15">
      <c r="B57" s="49" t="s">
        <v>81</v>
      </c>
      <c r="C57" s="9">
        <f>-139000891/1000</f>
        <v>-139000.891</v>
      </c>
      <c r="D57" s="9"/>
      <c r="E57" s="9">
        <f>-148069124/1000</f>
        <v>-148069.124</v>
      </c>
    </row>
    <row r="58" spans="3:5" ht="15">
      <c r="C58" s="53">
        <f>SUM(C51:C57)</f>
        <v>567542.3740000001</v>
      </c>
      <c r="D58" s="9"/>
      <c r="E58" s="53">
        <f>SUM(E51:E57)</f>
        <v>558474.1410000001</v>
      </c>
    </row>
    <row r="59" spans="3:5" ht="15">
      <c r="C59" s="9"/>
      <c r="D59" s="9"/>
      <c r="E59" s="54"/>
    </row>
    <row r="60" spans="2:5" ht="15">
      <c r="B60" s="1" t="s">
        <v>82</v>
      </c>
      <c r="C60" s="9">
        <f>67400381/1000</f>
        <v>67400.381</v>
      </c>
      <c r="D60" s="9"/>
      <c r="E60" s="9">
        <f>66470605/1000</f>
        <v>66470.605</v>
      </c>
    </row>
    <row r="61" spans="2:5" ht="15">
      <c r="B61" s="1" t="s">
        <v>143</v>
      </c>
      <c r="C61" s="9"/>
      <c r="D61" s="9"/>
      <c r="E61" s="9"/>
    </row>
    <row r="62" spans="2:5" ht="15">
      <c r="B62" s="2" t="s">
        <v>83</v>
      </c>
      <c r="C62" s="9">
        <f>128938056/1000</f>
        <v>128938.056</v>
      </c>
      <c r="D62" s="9"/>
      <c r="E62" s="9">
        <f>129809728/1000</f>
        <v>129809.728</v>
      </c>
    </row>
    <row r="63" spans="2:5" ht="15">
      <c r="B63" s="2" t="s">
        <v>84</v>
      </c>
      <c r="C63" s="9">
        <f>27370000/1000</f>
        <v>27370</v>
      </c>
      <c r="D63" s="9"/>
      <c r="E63" s="9">
        <f>27370000/1000</f>
        <v>27370</v>
      </c>
    </row>
    <row r="64" spans="2:5" ht="15">
      <c r="B64" s="2" t="s">
        <v>85</v>
      </c>
      <c r="C64" s="9">
        <f>65444658/1000</f>
        <v>65444.658</v>
      </c>
      <c r="D64" s="9"/>
      <c r="E64" s="9">
        <f>65398511/1000</f>
        <v>65398.511</v>
      </c>
    </row>
    <row r="65" spans="2:5" ht="15">
      <c r="B65" s="2" t="s">
        <v>86</v>
      </c>
      <c r="C65" s="9">
        <f>120015300/1000</f>
        <v>120015.3</v>
      </c>
      <c r="D65" s="9"/>
      <c r="E65" s="9">
        <f>121770567/1000</f>
        <v>121770.567</v>
      </c>
    </row>
    <row r="66" spans="2:5" ht="15">
      <c r="B66" s="2" t="s">
        <v>70</v>
      </c>
      <c r="C66" s="9">
        <v>0</v>
      </c>
      <c r="D66" s="9"/>
      <c r="E66" s="9">
        <f>113475/1000</f>
        <v>113.475</v>
      </c>
    </row>
    <row r="67" spans="3:5" ht="23.25" customHeight="1" thickBot="1">
      <c r="C67" s="51">
        <f>SUM(C58:C66)</f>
        <v>976710.7690000002</v>
      </c>
      <c r="D67" s="9"/>
      <c r="E67" s="51">
        <f>SUM(E58:E66)</f>
        <v>969407.0270000001</v>
      </c>
    </row>
    <row r="68" spans="3:5" ht="15.75" thickTop="1">
      <c r="C68" s="9">
        <f>C67-C47</f>
        <v>0</v>
      </c>
      <c r="D68" s="9"/>
      <c r="E68" s="9"/>
    </row>
    <row r="69" spans="3:5" ht="15">
      <c r="C69" s="9"/>
      <c r="D69" s="9"/>
      <c r="E69" s="9"/>
    </row>
    <row r="70" spans="2:5" ht="15">
      <c r="B70" s="1" t="s">
        <v>87</v>
      </c>
      <c r="C70" s="55">
        <f>(C58-C23-C24)/C51*100</f>
        <v>213.03805018387814</v>
      </c>
      <c r="D70" s="9"/>
      <c r="E70" s="55">
        <f>(E58-E23-E24)/E51*100</f>
        <v>209.5435828474971</v>
      </c>
    </row>
    <row r="71" spans="3:5" ht="15">
      <c r="C71" s="9"/>
      <c r="D71" s="9"/>
      <c r="E71" s="9"/>
    </row>
  </sheetData>
  <printOptions horizontalCentered="1"/>
  <pageMargins left="0.5" right="0.5" top="0.5" bottom="1" header="0.5" footer="0.5"/>
  <pageSetup fitToHeight="2" horizontalDpi="300" verticalDpi="300" orientation="portrait" paperSize="9" scale="95" r:id="rId1"/>
  <rowBreaks count="1" manualBreakCount="1">
    <brk id="48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93"/>
  <sheetViews>
    <sheetView tabSelected="1" workbookViewId="0" topLeftCell="A185">
      <selection activeCell="B194" sqref="B194"/>
    </sheetView>
  </sheetViews>
  <sheetFormatPr defaultColWidth="9.140625" defaultRowHeight="12.75"/>
  <cols>
    <col min="1" max="1" width="3.140625" style="2" customWidth="1"/>
    <col min="2" max="3" width="4.7109375" style="2" customWidth="1"/>
    <col min="4" max="8" width="9.140625" style="2" customWidth="1"/>
    <col min="9" max="10" width="11.7109375" style="2" customWidth="1"/>
    <col min="11" max="11" width="13.421875" style="2" customWidth="1"/>
    <col min="12" max="16384" width="9.140625" style="2" customWidth="1"/>
  </cols>
  <sheetData>
    <row r="2" ht="20.25">
      <c r="B2" s="41" t="s">
        <v>155</v>
      </c>
    </row>
    <row r="3" ht="15">
      <c r="B3" s="31" t="s">
        <v>141</v>
      </c>
    </row>
    <row r="4" ht="15">
      <c r="B4" s="30"/>
    </row>
    <row r="5" ht="15">
      <c r="B5" s="3" t="s">
        <v>150</v>
      </c>
    </row>
    <row r="6" spans="2:11" ht="15">
      <c r="B6" s="4" t="s">
        <v>157</v>
      </c>
      <c r="C6" s="5"/>
      <c r="D6" s="5"/>
      <c r="E6" s="5"/>
      <c r="F6" s="5"/>
      <c r="G6" s="5"/>
      <c r="H6" s="5"/>
      <c r="I6" s="5"/>
      <c r="J6" s="5"/>
      <c r="K6" s="5"/>
    </row>
    <row r="8" ht="15">
      <c r="B8" s="1" t="s">
        <v>89</v>
      </c>
    </row>
    <row r="9" ht="15">
      <c r="B9" s="1"/>
    </row>
    <row r="11" spans="2:3" ht="15">
      <c r="B11" s="6" t="s">
        <v>7</v>
      </c>
      <c r="C11" s="1" t="s">
        <v>90</v>
      </c>
    </row>
    <row r="12" ht="15">
      <c r="C12" s="2" t="s">
        <v>173</v>
      </c>
    </row>
    <row r="13" ht="15">
      <c r="C13" s="2" t="s">
        <v>174</v>
      </c>
    </row>
    <row r="14" ht="15">
      <c r="C14" s="2" t="s">
        <v>175</v>
      </c>
    </row>
    <row r="15" ht="15">
      <c r="C15" s="2" t="s">
        <v>176</v>
      </c>
    </row>
    <row r="16" ht="15">
      <c r="C16" s="2" t="s">
        <v>177</v>
      </c>
    </row>
    <row r="17" ht="15">
      <c r="C17" s="2" t="s">
        <v>178</v>
      </c>
    </row>
    <row r="20" spans="2:3" ht="15">
      <c r="B20" s="6" t="s">
        <v>14</v>
      </c>
      <c r="C20" s="1" t="s">
        <v>21</v>
      </c>
    </row>
    <row r="21" spans="3:11" ht="15">
      <c r="C21" s="2" t="s">
        <v>164</v>
      </c>
      <c r="K21" s="45"/>
    </row>
    <row r="22" ht="15">
      <c r="K22" s="45" t="s">
        <v>165</v>
      </c>
    </row>
    <row r="23" spans="3:11" ht="15">
      <c r="C23" s="2" t="s">
        <v>166</v>
      </c>
      <c r="K23" s="9">
        <v>11028138</v>
      </c>
    </row>
    <row r="24" ht="15">
      <c r="K24" s="9"/>
    </row>
    <row r="26" spans="2:3" ht="15">
      <c r="B26" s="6" t="s">
        <v>40</v>
      </c>
      <c r="C26" s="1" t="s">
        <v>37</v>
      </c>
    </row>
    <row r="27" ht="15">
      <c r="C27" s="2" t="s">
        <v>91</v>
      </c>
    </row>
    <row r="30" spans="2:3" ht="15">
      <c r="B30" s="6" t="s">
        <v>92</v>
      </c>
      <c r="C30" s="1" t="s">
        <v>30</v>
      </c>
    </row>
    <row r="31" ht="15">
      <c r="C31" s="2" t="s">
        <v>179</v>
      </c>
    </row>
    <row r="32" ht="15">
      <c r="C32" s="2" t="s">
        <v>180</v>
      </c>
    </row>
    <row r="35" spans="2:3" ht="15">
      <c r="B35" s="6" t="s">
        <v>93</v>
      </c>
      <c r="C35" s="1" t="s">
        <v>94</v>
      </c>
    </row>
    <row r="36" ht="15">
      <c r="C36" s="2" t="s">
        <v>151</v>
      </c>
    </row>
    <row r="39" spans="2:3" ht="15">
      <c r="B39" s="6" t="s">
        <v>95</v>
      </c>
      <c r="C39" s="1" t="s">
        <v>96</v>
      </c>
    </row>
    <row r="40" ht="15">
      <c r="C40" s="2" t="s">
        <v>181</v>
      </c>
    </row>
    <row r="41" ht="15">
      <c r="C41" s="2" t="s">
        <v>182</v>
      </c>
    </row>
    <row r="42" ht="15">
      <c r="C42" s="2" t="s">
        <v>183</v>
      </c>
    </row>
    <row r="43" ht="15">
      <c r="C43" s="2" t="s">
        <v>184</v>
      </c>
    </row>
    <row r="46" spans="2:3" ht="15">
      <c r="B46" s="6" t="s">
        <v>97</v>
      </c>
      <c r="C46" s="1" t="s">
        <v>98</v>
      </c>
    </row>
    <row r="47" spans="3:4" ht="15">
      <c r="C47" s="17" t="s">
        <v>8</v>
      </c>
      <c r="D47" s="2" t="s">
        <v>185</v>
      </c>
    </row>
    <row r="48" ht="15">
      <c r="D48" s="2" t="s">
        <v>186</v>
      </c>
    </row>
    <row r="50" spans="3:4" ht="15">
      <c r="C50" s="17" t="s">
        <v>10</v>
      </c>
      <c r="D50" s="2" t="s">
        <v>161</v>
      </c>
    </row>
    <row r="51" spans="4:11" ht="15">
      <c r="D51" s="22"/>
      <c r="E51" s="22"/>
      <c r="F51" s="22"/>
      <c r="G51" s="22"/>
      <c r="H51" s="22"/>
      <c r="I51" s="22"/>
      <c r="J51" s="22"/>
      <c r="K51" s="33" t="s">
        <v>6</v>
      </c>
    </row>
    <row r="52" spans="4:11" ht="24.75" customHeight="1">
      <c r="D52" s="26" t="s">
        <v>139</v>
      </c>
      <c r="E52" s="27"/>
      <c r="F52" s="27"/>
      <c r="G52" s="27"/>
      <c r="H52" s="27"/>
      <c r="I52" s="27"/>
      <c r="J52" s="42"/>
      <c r="K52" s="25">
        <f>201775541/1000</f>
        <v>201775.541</v>
      </c>
    </row>
    <row r="53" spans="4:11" ht="24.75" customHeight="1">
      <c r="D53" s="23" t="s">
        <v>187</v>
      </c>
      <c r="E53" s="24"/>
      <c r="F53" s="24"/>
      <c r="G53" s="24"/>
      <c r="H53" s="24"/>
      <c r="I53" s="24"/>
      <c r="J53" s="24"/>
      <c r="K53" s="29">
        <v>166198</v>
      </c>
    </row>
    <row r="54" spans="4:11" ht="24.75" customHeight="1">
      <c r="D54" s="26" t="s">
        <v>140</v>
      </c>
      <c r="E54" s="27"/>
      <c r="F54" s="27"/>
      <c r="G54" s="27"/>
      <c r="H54" s="27"/>
      <c r="I54" s="27"/>
      <c r="J54" s="27"/>
      <c r="K54" s="28">
        <v>154269</v>
      </c>
    </row>
    <row r="57" spans="2:3" ht="15">
      <c r="B57" s="6" t="s">
        <v>99</v>
      </c>
      <c r="C57" s="1" t="s">
        <v>100</v>
      </c>
    </row>
    <row r="58" spans="2:3" ht="15">
      <c r="B58" s="6"/>
      <c r="C58" s="2" t="s">
        <v>167</v>
      </c>
    </row>
    <row r="59" spans="3:4" ht="15">
      <c r="C59" s="2" t="s">
        <v>153</v>
      </c>
      <c r="D59" s="2" t="s">
        <v>235</v>
      </c>
    </row>
    <row r="60" ht="15">
      <c r="D60" s="2" t="s">
        <v>236</v>
      </c>
    </row>
    <row r="61" ht="15">
      <c r="D61" s="2" t="s">
        <v>237</v>
      </c>
    </row>
    <row r="63" spans="3:4" ht="15">
      <c r="C63" s="2" t="s">
        <v>154</v>
      </c>
      <c r="D63" s="2" t="s">
        <v>239</v>
      </c>
    </row>
    <row r="64" ht="15">
      <c r="D64" s="2" t="s">
        <v>240</v>
      </c>
    </row>
    <row r="65" ht="15">
      <c r="D65" s="2" t="s">
        <v>223</v>
      </c>
    </row>
    <row r="66" ht="15">
      <c r="D66" s="2" t="s">
        <v>238</v>
      </c>
    </row>
    <row r="67" ht="15">
      <c r="D67" s="2" t="s">
        <v>224</v>
      </c>
    </row>
    <row r="69" spans="3:4" ht="15">
      <c r="C69" s="2" t="s">
        <v>12</v>
      </c>
      <c r="D69" s="2" t="s">
        <v>241</v>
      </c>
    </row>
    <row r="70" ht="15">
      <c r="D70" s="2" t="s">
        <v>242</v>
      </c>
    </row>
    <row r="71" ht="15">
      <c r="D71" s="2" t="s">
        <v>243</v>
      </c>
    </row>
    <row r="72" ht="15">
      <c r="D72" s="2" t="s">
        <v>244</v>
      </c>
    </row>
    <row r="75" spans="2:3" ht="15">
      <c r="B75" s="6" t="s">
        <v>101</v>
      </c>
      <c r="C75" s="1" t="s">
        <v>102</v>
      </c>
    </row>
    <row r="76" ht="15">
      <c r="C76" s="2" t="s">
        <v>188</v>
      </c>
    </row>
    <row r="77" ht="15">
      <c r="C77" s="2" t="s">
        <v>189</v>
      </c>
    </row>
    <row r="78" ht="15">
      <c r="C78" s="2" t="s">
        <v>190</v>
      </c>
    </row>
    <row r="80" ht="15">
      <c r="C80" s="2" t="s">
        <v>191</v>
      </c>
    </row>
    <row r="81" ht="15">
      <c r="C81" s="2" t="s">
        <v>192</v>
      </c>
    </row>
    <row r="82" ht="15">
      <c r="C82" s="2" t="s">
        <v>193</v>
      </c>
    </row>
    <row r="84" ht="15">
      <c r="C84" s="2" t="s">
        <v>152</v>
      </c>
    </row>
    <row r="85" spans="3:4" ht="15">
      <c r="C85" s="17" t="s">
        <v>8</v>
      </c>
      <c r="D85" s="2" t="s">
        <v>194</v>
      </c>
    </row>
    <row r="86" ht="15">
      <c r="D86" s="2" t="s">
        <v>195</v>
      </c>
    </row>
    <row r="87" ht="15">
      <c r="D87" s="2" t="s">
        <v>196</v>
      </c>
    </row>
    <row r="89" spans="3:4" ht="15">
      <c r="C89" s="2" t="s">
        <v>10</v>
      </c>
      <c r="D89" s="2" t="s">
        <v>197</v>
      </c>
    </row>
    <row r="90" ht="15">
      <c r="D90" s="2" t="s">
        <v>225</v>
      </c>
    </row>
    <row r="92" ht="15">
      <c r="C92" s="2" t="s">
        <v>198</v>
      </c>
    </row>
    <row r="93" ht="15">
      <c r="C93" s="2" t="s">
        <v>228</v>
      </c>
    </row>
    <row r="94" ht="15">
      <c r="C94" s="2" t="s">
        <v>226</v>
      </c>
    </row>
    <row r="95" ht="15">
      <c r="C95" s="2" t="s">
        <v>227</v>
      </c>
    </row>
    <row r="98" spans="2:3" ht="15">
      <c r="B98" s="6" t="s">
        <v>103</v>
      </c>
      <c r="C98" s="1" t="s">
        <v>104</v>
      </c>
    </row>
    <row r="99" ht="15">
      <c r="C99" s="2" t="s">
        <v>105</v>
      </c>
    </row>
    <row r="102" spans="2:3" ht="15">
      <c r="B102" s="6" t="s">
        <v>106</v>
      </c>
      <c r="C102" s="1" t="s">
        <v>107</v>
      </c>
    </row>
    <row r="103" ht="15">
      <c r="C103" s="2" t="s">
        <v>199</v>
      </c>
    </row>
    <row r="104" ht="15">
      <c r="C104" s="2" t="s">
        <v>229</v>
      </c>
    </row>
    <row r="107" spans="2:3" ht="15">
      <c r="B107" s="6" t="s">
        <v>108</v>
      </c>
      <c r="C107" s="1" t="s">
        <v>109</v>
      </c>
    </row>
    <row r="108" ht="15">
      <c r="C108" s="2" t="s">
        <v>162</v>
      </c>
    </row>
    <row r="109" spans="3:11" ht="15">
      <c r="C109" s="22"/>
      <c r="D109" s="22"/>
      <c r="E109" s="22"/>
      <c r="F109" s="22"/>
      <c r="G109" s="22"/>
      <c r="H109" s="22"/>
      <c r="I109" s="22"/>
      <c r="J109" s="22"/>
      <c r="K109" s="33" t="s">
        <v>6</v>
      </c>
    </row>
    <row r="110" spans="3:11" ht="24.75" customHeight="1">
      <c r="C110" s="26" t="s">
        <v>110</v>
      </c>
      <c r="D110" s="27"/>
      <c r="E110" s="27"/>
      <c r="F110" s="27"/>
      <c r="G110" s="27"/>
      <c r="H110" s="27"/>
      <c r="I110" s="27"/>
      <c r="J110" s="42"/>
      <c r="K110" s="28">
        <v>225399</v>
      </c>
    </row>
    <row r="111" spans="3:11" ht="24.75" customHeight="1">
      <c r="C111" s="26" t="s">
        <v>111</v>
      </c>
      <c r="D111" s="27"/>
      <c r="E111" s="27"/>
      <c r="F111" s="27"/>
      <c r="G111" s="27"/>
      <c r="H111" s="27"/>
      <c r="I111" s="27"/>
      <c r="J111" s="42"/>
      <c r="K111" s="34">
        <v>128938</v>
      </c>
    </row>
    <row r="112" spans="3:11" ht="24.75" customHeight="1">
      <c r="C112" s="22"/>
      <c r="D112" s="22"/>
      <c r="E112" s="22"/>
      <c r="F112" s="22"/>
      <c r="G112" s="22"/>
      <c r="H112" s="22"/>
      <c r="I112" s="22"/>
      <c r="J112" s="22"/>
      <c r="K112" s="43">
        <f>SUM(K110:K111)</f>
        <v>354337</v>
      </c>
    </row>
    <row r="113" spans="4:11" ht="15">
      <c r="D113" s="22"/>
      <c r="F113" s="22"/>
      <c r="G113" s="22"/>
      <c r="H113" s="22"/>
      <c r="I113" s="22"/>
      <c r="J113" s="22"/>
      <c r="K113" s="35"/>
    </row>
    <row r="114" spans="4:11" ht="15">
      <c r="D114" s="22"/>
      <c r="F114" s="22"/>
      <c r="G114" s="22"/>
      <c r="H114" s="22"/>
      <c r="I114" s="22"/>
      <c r="J114" s="22"/>
      <c r="K114" s="35"/>
    </row>
    <row r="115" spans="2:3" ht="15">
      <c r="B115" s="6" t="s">
        <v>112</v>
      </c>
      <c r="C115" s="1" t="s">
        <v>113</v>
      </c>
    </row>
    <row r="116" ht="15">
      <c r="C116" s="2" t="s">
        <v>200</v>
      </c>
    </row>
    <row r="117" ht="15">
      <c r="C117" s="2" t="s">
        <v>201</v>
      </c>
    </row>
    <row r="120" spans="2:3" ht="15">
      <c r="B120" s="6" t="s">
        <v>114</v>
      </c>
      <c r="C120" s="1" t="s">
        <v>115</v>
      </c>
    </row>
    <row r="121" ht="15">
      <c r="C121" s="2" t="s">
        <v>202</v>
      </c>
    </row>
    <row r="122" ht="15">
      <c r="C122" s="2" t="s">
        <v>203</v>
      </c>
    </row>
    <row r="125" spans="2:3" ht="15">
      <c r="B125" s="6" t="s">
        <v>116</v>
      </c>
      <c r="C125" s="1" t="s">
        <v>156</v>
      </c>
    </row>
    <row r="126" ht="15">
      <c r="C126" s="2" t="s">
        <v>204</v>
      </c>
    </row>
    <row r="127" ht="15">
      <c r="C127" s="2" t="s">
        <v>205</v>
      </c>
    </row>
    <row r="130" spans="2:3" ht="15">
      <c r="B130" s="6" t="s">
        <v>117</v>
      </c>
      <c r="C130" s="1" t="s">
        <v>118</v>
      </c>
    </row>
    <row r="131" ht="13.5" customHeight="1">
      <c r="C131" s="2" t="s">
        <v>163</v>
      </c>
    </row>
    <row r="132" spans="10:11" ht="15">
      <c r="J132" s="7" t="s">
        <v>124</v>
      </c>
      <c r="K132" s="7" t="s">
        <v>126</v>
      </c>
    </row>
    <row r="133" spans="9:11" ht="15">
      <c r="I133" s="7" t="s">
        <v>9</v>
      </c>
      <c r="J133" s="7" t="s">
        <v>125</v>
      </c>
      <c r="K133" s="7" t="s">
        <v>127</v>
      </c>
    </row>
    <row r="134" spans="9:11" ht="15">
      <c r="I134" s="7" t="s">
        <v>6</v>
      </c>
      <c r="J134" s="7" t="s">
        <v>6</v>
      </c>
      <c r="K134" s="7" t="s">
        <v>6</v>
      </c>
    </row>
    <row r="135" spans="3:11" ht="15">
      <c r="C135" s="17" t="s">
        <v>119</v>
      </c>
      <c r="I135" s="9">
        <f>(15632104+10952961)/1000</f>
        <v>26585.065</v>
      </c>
      <c r="J135" s="9">
        <f>(5478160+4272607-4513543)/1000</f>
        <v>5237.224</v>
      </c>
      <c r="K135" s="8">
        <f>(1157888328+738562+5786918-1016000)/1000</f>
        <v>1163397.808</v>
      </c>
    </row>
    <row r="136" spans="3:11" ht="15">
      <c r="C136" s="17" t="s">
        <v>120</v>
      </c>
      <c r="I136" s="9">
        <v>0</v>
      </c>
      <c r="J136" s="9">
        <f>(-10653+221412)/1000</f>
        <v>210.759</v>
      </c>
      <c r="K136" s="9">
        <f>(3343071+32259)/1000</f>
        <v>3375.33</v>
      </c>
    </row>
    <row r="137" spans="3:11" ht="15">
      <c r="C137" s="17" t="s">
        <v>121</v>
      </c>
      <c r="I137" s="9">
        <f>4713974/1000</f>
        <v>4713.974</v>
      </c>
      <c r="J137" s="9">
        <f>-164749/1000</f>
        <v>-164.749</v>
      </c>
      <c r="K137" s="9">
        <f>(11388413-828575)/1000</f>
        <v>10559.838</v>
      </c>
    </row>
    <row r="138" spans="3:11" ht="15">
      <c r="C138" s="17" t="s">
        <v>122</v>
      </c>
      <c r="I138" s="9">
        <f>27888/1000</f>
        <v>27.888</v>
      </c>
      <c r="J138" s="9">
        <f>(-2541322-8596668+11028138-51000)/1000</f>
        <v>-160.852</v>
      </c>
      <c r="K138" s="9">
        <f>(168257854-514273-2256573)/1000</f>
        <v>165487.008</v>
      </c>
    </row>
    <row r="139" spans="3:11" ht="15">
      <c r="C139" s="17" t="s">
        <v>123</v>
      </c>
      <c r="I139" s="9">
        <f>89877/1000</f>
        <v>89.877</v>
      </c>
      <c r="J139" s="9">
        <f>125/1000</f>
        <v>0.125</v>
      </c>
      <c r="K139" s="9">
        <f>(24465893-4687235)/1000</f>
        <v>19778.658</v>
      </c>
    </row>
    <row r="140" spans="3:11" ht="15">
      <c r="C140" s="17" t="s">
        <v>149</v>
      </c>
      <c r="I140" s="9">
        <f>(30367-14-305)*0.305</f>
        <v>9164.64</v>
      </c>
      <c r="J140" s="35">
        <f>7533767/1000</f>
        <v>7533.767</v>
      </c>
      <c r="K140" s="9">
        <f>5810053/1000</f>
        <v>5810.053</v>
      </c>
    </row>
    <row r="141" spans="9:11" ht="15">
      <c r="I141" s="10">
        <f>SUM(I135:I140)</f>
        <v>40581.443999999996</v>
      </c>
      <c r="J141" s="10">
        <f>SUM(J135:J140)</f>
        <v>12656.274000000001</v>
      </c>
      <c r="K141" s="10">
        <f>SUM(K135:K140)</f>
        <v>1368408.695</v>
      </c>
    </row>
    <row r="142" spans="8:11" ht="15">
      <c r="H142" s="35"/>
      <c r="I142" s="35"/>
      <c r="J142" s="35"/>
      <c r="K142" s="35"/>
    </row>
    <row r="143" spans="8:11" ht="15">
      <c r="H143" s="35"/>
      <c r="I143" s="35"/>
      <c r="J143" s="35"/>
      <c r="K143" s="35"/>
    </row>
    <row r="144" spans="2:3" ht="15">
      <c r="B144" s="6" t="s">
        <v>128</v>
      </c>
      <c r="C144" s="1" t="s">
        <v>129</v>
      </c>
    </row>
    <row r="145" ht="15">
      <c r="C145" s="2" t="s">
        <v>206</v>
      </c>
    </row>
    <row r="146" ht="15">
      <c r="C146" s="2" t="s">
        <v>207</v>
      </c>
    </row>
    <row r="147" ht="15">
      <c r="C147" s="2" t="s">
        <v>208</v>
      </c>
    </row>
    <row r="148" ht="15">
      <c r="C148" s="2" t="s">
        <v>209</v>
      </c>
    </row>
    <row r="149" ht="15">
      <c r="C149" s="2" t="s">
        <v>210</v>
      </c>
    </row>
    <row r="150" ht="15">
      <c r="C150" s="2" t="s">
        <v>211</v>
      </c>
    </row>
    <row r="153" spans="2:3" ht="15">
      <c r="B153" s="6" t="s">
        <v>130</v>
      </c>
      <c r="C153" s="1" t="s">
        <v>131</v>
      </c>
    </row>
    <row r="154" ht="15">
      <c r="C154" s="2" t="s">
        <v>212</v>
      </c>
    </row>
    <row r="155" ht="15">
      <c r="C155" s="2" t="s">
        <v>213</v>
      </c>
    </row>
    <row r="156" ht="15">
      <c r="C156" s="2" t="s">
        <v>214</v>
      </c>
    </row>
    <row r="157" ht="15">
      <c r="C157" s="2" t="s">
        <v>215</v>
      </c>
    </row>
    <row r="158" ht="15">
      <c r="C158" s="2" t="s">
        <v>216</v>
      </c>
    </row>
    <row r="159" ht="15">
      <c r="C159" s="2" t="s">
        <v>217</v>
      </c>
    </row>
    <row r="160" ht="15">
      <c r="C160" s="2" t="s">
        <v>218</v>
      </c>
    </row>
    <row r="163" spans="2:3" ht="15">
      <c r="B163" s="6" t="s">
        <v>132</v>
      </c>
      <c r="C163" s="1" t="s">
        <v>133</v>
      </c>
    </row>
    <row r="164" ht="15">
      <c r="C164" s="2" t="s">
        <v>219</v>
      </c>
    </row>
    <row r="165" ht="15">
      <c r="C165" s="2" t="s">
        <v>230</v>
      </c>
    </row>
    <row r="166" ht="15">
      <c r="C166" s="2" t="s">
        <v>231</v>
      </c>
    </row>
    <row r="167" ht="15">
      <c r="C167" s="2" t="s">
        <v>232</v>
      </c>
    </row>
    <row r="168" ht="15">
      <c r="C168" s="2" t="s">
        <v>233</v>
      </c>
    </row>
    <row r="169" ht="15">
      <c r="C169" s="2" t="s">
        <v>234</v>
      </c>
    </row>
    <row r="171" ht="15">
      <c r="A171" s="2" t="s">
        <v>220</v>
      </c>
    </row>
    <row r="172" spans="2:3" ht="15">
      <c r="B172" s="6" t="s">
        <v>134</v>
      </c>
      <c r="C172" s="1" t="s">
        <v>172</v>
      </c>
    </row>
    <row r="173" ht="15">
      <c r="C173" s="2" t="s">
        <v>222</v>
      </c>
    </row>
    <row r="174" ht="15">
      <c r="C174" s="2" t="s">
        <v>221</v>
      </c>
    </row>
    <row r="177" spans="2:3" ht="15">
      <c r="B177" s="6" t="s">
        <v>134</v>
      </c>
      <c r="C177" s="1" t="s">
        <v>135</v>
      </c>
    </row>
    <row r="178" ht="15">
      <c r="C178" s="2" t="s">
        <v>136</v>
      </c>
    </row>
    <row r="181" spans="2:3" ht="15">
      <c r="B181" s="6" t="s">
        <v>137</v>
      </c>
      <c r="C181" s="1" t="s">
        <v>138</v>
      </c>
    </row>
    <row r="182" ht="15">
      <c r="C182" s="2" t="s">
        <v>168</v>
      </c>
    </row>
    <row r="185" ht="15">
      <c r="B185" s="2" t="s">
        <v>245</v>
      </c>
    </row>
    <row r="187" ht="15">
      <c r="B187" s="2" t="s">
        <v>246</v>
      </c>
    </row>
    <row r="188" ht="15">
      <c r="B188" s="2" t="s">
        <v>247</v>
      </c>
    </row>
    <row r="189" ht="15">
      <c r="B189" s="2" t="s">
        <v>248</v>
      </c>
    </row>
    <row r="191" ht="15">
      <c r="B191" s="2" t="s">
        <v>249</v>
      </c>
    </row>
    <row r="192" ht="15">
      <c r="B192" s="2" t="s">
        <v>250</v>
      </c>
    </row>
    <row r="193" spans="2:4" ht="15">
      <c r="B193" s="56" t="s">
        <v>251</v>
      </c>
      <c r="C193" s="57"/>
      <c r="D193" s="57"/>
    </row>
  </sheetData>
  <mergeCells count="1">
    <mergeCell ref="B193:D193"/>
  </mergeCells>
  <printOptions horizontalCentered="1"/>
  <pageMargins left="0.5" right="0.5" top="0.5" bottom="0.5" header="0" footer="0"/>
  <pageSetup fitToHeight="0" horizontalDpi="300" verticalDpi="300" orientation="portrait" paperSize="9" scale="95" r:id="rId1"/>
  <rowBreaks count="4" manualBreakCount="4">
    <brk id="45" max="255" man="1"/>
    <brk id="83" max="255" man="1"/>
    <brk id="119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JAYA MANAGEMENT</cp:lastModifiedBy>
  <cp:lastPrinted>2000-05-31T09:01:53Z</cp:lastPrinted>
  <dcterms:created xsi:type="dcterms:W3CDTF">1999-11-16T09:13:51Z</dcterms:created>
  <dcterms:modified xsi:type="dcterms:W3CDTF">2000-05-31T09:02:04Z</dcterms:modified>
  <cp:category/>
  <cp:version/>
  <cp:contentType/>
  <cp:contentStatus/>
</cp:coreProperties>
</file>